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f7441be912a20f/Documents/.tmp.driveupload/"/>
    </mc:Choice>
  </mc:AlternateContent>
  <xr:revisionPtr revIDLastSave="2" documentId="8_{AFA0D89F-33BA-43C2-AAF3-055338BE2C4A}" xr6:coauthVersionLast="47" xr6:coauthVersionMax="47" xr10:uidLastSave="{9F4E49B3-F04D-4874-91BA-FBDFE4717327}"/>
  <bookViews>
    <workbookView xWindow="-108" yWindow="-108" windowWidth="23256" windowHeight="12456" xr2:uid="{00000000-000D-0000-FFFF-FFFF00000000}"/>
  </bookViews>
  <sheets>
    <sheet name="Statement of Activit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5" i="1" l="1"/>
  <c r="R94" i="1"/>
  <c r="R93" i="1"/>
  <c r="R92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68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49" i="1"/>
  <c r="R48" i="1"/>
  <c r="R46" i="1"/>
  <c r="R45" i="1"/>
  <c r="R43" i="1"/>
  <c r="R42" i="1"/>
  <c r="R41" i="1"/>
  <c r="R40" i="1"/>
  <c r="R31" i="1"/>
  <c r="R32" i="1"/>
  <c r="R33" i="1"/>
  <c r="R34" i="1"/>
  <c r="R35" i="1"/>
  <c r="R36" i="1"/>
  <c r="R37" i="1"/>
  <c r="R30" i="1"/>
  <c r="R29" i="1"/>
  <c r="R27" i="1"/>
  <c r="R26" i="1"/>
  <c r="R25" i="1"/>
  <c r="R24" i="1"/>
  <c r="R23" i="1"/>
  <c r="R22" i="1"/>
  <c r="R20" i="1"/>
  <c r="R19" i="1"/>
  <c r="R18" i="1"/>
  <c r="R17" i="1"/>
  <c r="R16" i="1"/>
  <c r="R15" i="1"/>
  <c r="R14" i="1"/>
  <c r="R12" i="1"/>
  <c r="R11" i="1"/>
  <c r="R10" i="1"/>
  <c r="R9" i="1"/>
  <c r="R8" i="1"/>
  <c r="D45" i="1"/>
  <c r="D46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B93" i="1"/>
  <c r="Q64" i="1"/>
  <c r="P64" i="1"/>
  <c r="O64" i="1"/>
  <c r="L64" i="1"/>
  <c r="K64" i="1"/>
  <c r="J64" i="1"/>
  <c r="I64" i="1"/>
  <c r="H64" i="1"/>
  <c r="G64" i="1"/>
  <c r="F64" i="1"/>
  <c r="E64" i="1"/>
  <c r="D64" i="1"/>
  <c r="C64" i="1"/>
  <c r="B64" i="1"/>
  <c r="N63" i="1"/>
  <c r="M63" i="1"/>
  <c r="M62" i="1"/>
  <c r="M61" i="1"/>
  <c r="N60" i="1"/>
  <c r="M60" i="1"/>
  <c r="M59" i="1"/>
  <c r="N58" i="1"/>
  <c r="N57" i="1"/>
  <c r="M57" i="1"/>
  <c r="M56" i="1"/>
  <c r="M55" i="1"/>
  <c r="N54" i="1"/>
  <c r="M54" i="1"/>
  <c r="N53" i="1"/>
  <c r="M53" i="1"/>
  <c r="M52" i="1"/>
  <c r="N51" i="1"/>
  <c r="M51" i="1"/>
  <c r="N50" i="1"/>
  <c r="M50" i="1"/>
  <c r="M49" i="1"/>
  <c r="N48" i="1"/>
  <c r="Q46" i="1"/>
  <c r="N46" i="1"/>
  <c r="M46" i="1"/>
  <c r="L46" i="1"/>
  <c r="K46" i="1"/>
  <c r="G46" i="1"/>
  <c r="F46" i="1"/>
  <c r="E46" i="1"/>
  <c r="C46" i="1"/>
  <c r="B46" i="1"/>
  <c r="P45" i="1"/>
  <c r="P46" i="1" s="1"/>
  <c r="O45" i="1"/>
  <c r="O46" i="1" s="1"/>
  <c r="J45" i="1"/>
  <c r="J46" i="1" s="1"/>
  <c r="I45" i="1"/>
  <c r="I46" i="1" s="1"/>
  <c r="H45" i="1"/>
  <c r="H46" i="1" s="1"/>
  <c r="G45" i="1"/>
  <c r="Q43" i="1"/>
  <c r="P43" i="1"/>
  <c r="O43" i="1"/>
  <c r="N43" i="1"/>
  <c r="M43" i="1"/>
  <c r="L43" i="1"/>
  <c r="K43" i="1"/>
  <c r="J43" i="1"/>
  <c r="I43" i="1"/>
  <c r="H43" i="1"/>
  <c r="G43" i="1"/>
  <c r="E43" i="1"/>
  <c r="D43" i="1"/>
  <c r="F42" i="1"/>
  <c r="F41" i="1"/>
  <c r="F40" i="1"/>
  <c r="F43" i="1" s="1"/>
  <c r="C40" i="1"/>
  <c r="C43" i="1" s="1"/>
  <c r="B40" i="1"/>
  <c r="B43" i="1" s="1"/>
  <c r="B65" i="1" s="1"/>
  <c r="Q36" i="1"/>
  <c r="N36" i="1"/>
  <c r="M36" i="1"/>
  <c r="L36" i="1"/>
  <c r="K36" i="1"/>
  <c r="J36" i="1"/>
  <c r="I36" i="1"/>
  <c r="F36" i="1"/>
  <c r="E36" i="1"/>
  <c r="C36" i="1"/>
  <c r="B36" i="1"/>
  <c r="P35" i="1"/>
  <c r="P36" i="1" s="1"/>
  <c r="O34" i="1"/>
  <c r="O36" i="1" s="1"/>
  <c r="J33" i="1"/>
  <c r="I32" i="1"/>
  <c r="H31" i="1"/>
  <c r="G30" i="1"/>
  <c r="G36" i="1" s="1"/>
  <c r="Q27" i="1"/>
  <c r="P27" i="1"/>
  <c r="O27" i="1"/>
  <c r="N27" i="1"/>
  <c r="L27" i="1"/>
  <c r="K27" i="1"/>
  <c r="J27" i="1"/>
  <c r="I27" i="1"/>
  <c r="H27" i="1"/>
  <c r="G27" i="1"/>
  <c r="F27" i="1"/>
  <c r="E27" i="1"/>
  <c r="D27" i="1"/>
  <c r="C27" i="1"/>
  <c r="B27" i="1"/>
  <c r="M26" i="1"/>
  <c r="M25" i="1"/>
  <c r="M24" i="1"/>
  <c r="M23" i="1"/>
  <c r="M22" i="1"/>
  <c r="Q20" i="1"/>
  <c r="P20" i="1"/>
  <c r="O20" i="1"/>
  <c r="N20" i="1"/>
  <c r="M20" i="1"/>
  <c r="J20" i="1"/>
  <c r="I20" i="1"/>
  <c r="H20" i="1"/>
  <c r="G20" i="1"/>
  <c r="D20" i="1"/>
  <c r="C20" i="1"/>
  <c r="B20" i="1"/>
  <c r="K19" i="1"/>
  <c r="K20" i="1" s="1"/>
  <c r="F18" i="1"/>
  <c r="E17" i="1"/>
  <c r="C16" i="1"/>
  <c r="B15" i="1"/>
  <c r="L14" i="1"/>
  <c r="Q12" i="1"/>
  <c r="P12" i="1"/>
  <c r="O12" i="1"/>
  <c r="M12" i="1"/>
  <c r="L12" i="1"/>
  <c r="K12" i="1"/>
  <c r="J12" i="1"/>
  <c r="I12" i="1"/>
  <c r="H12" i="1"/>
  <c r="G12" i="1"/>
  <c r="F12" i="1"/>
  <c r="E12" i="1"/>
  <c r="D12" i="1"/>
  <c r="C12" i="1"/>
  <c r="B12" i="1"/>
  <c r="N11" i="1"/>
  <c r="N10" i="1"/>
  <c r="N9" i="1"/>
  <c r="N8" i="1"/>
  <c r="N64" i="1" l="1"/>
  <c r="N65" i="1" s="1"/>
  <c r="F20" i="1"/>
  <c r="Q65" i="1"/>
  <c r="K65" i="1"/>
  <c r="H65" i="1"/>
  <c r="L65" i="1"/>
  <c r="N12" i="1"/>
  <c r="N37" i="1" s="1"/>
  <c r="N66" i="1" s="1"/>
  <c r="N94" i="1" s="1"/>
  <c r="N95" i="1" s="1"/>
  <c r="L20" i="1"/>
  <c r="L37" i="1" s="1"/>
  <c r="L66" i="1" s="1"/>
  <c r="L94" i="1" s="1"/>
  <c r="L95" i="1" s="1"/>
  <c r="F65" i="1"/>
  <c r="K37" i="1"/>
  <c r="K66" i="1" s="1"/>
  <c r="K94" i="1" s="1"/>
  <c r="K95" i="1" s="1"/>
  <c r="O37" i="1"/>
  <c r="H36" i="1"/>
  <c r="H37" i="1" s="1"/>
  <c r="H66" i="1" s="1"/>
  <c r="H94" i="1" s="1"/>
  <c r="H95" i="1" s="1"/>
  <c r="C65" i="1"/>
  <c r="P65" i="1"/>
  <c r="D65" i="1"/>
  <c r="O65" i="1"/>
  <c r="J65" i="1"/>
  <c r="I65" i="1"/>
  <c r="C37" i="1"/>
  <c r="Q37" i="1"/>
  <c r="Q66" i="1" s="1"/>
  <c r="F37" i="1"/>
  <c r="F66" i="1" s="1"/>
  <c r="F94" i="1" s="1"/>
  <c r="F95" i="1" s="1"/>
  <c r="M27" i="1"/>
  <c r="M37" i="1" s="1"/>
  <c r="I37" i="1"/>
  <c r="J37" i="1"/>
  <c r="E65" i="1"/>
  <c r="G65" i="1"/>
  <c r="G37" i="1"/>
  <c r="G66" i="1" s="1"/>
  <c r="G94" i="1" s="1"/>
  <c r="G95" i="1" s="1"/>
  <c r="Q93" i="1"/>
  <c r="B37" i="1"/>
  <c r="B66" i="1" s="1"/>
  <c r="B94" i="1" s="1"/>
  <c r="B95" i="1" s="1"/>
  <c r="P37" i="1"/>
  <c r="E20" i="1"/>
  <c r="E37" i="1" s="1"/>
  <c r="M64" i="1"/>
  <c r="M65" i="1" s="1"/>
  <c r="D36" i="1"/>
  <c r="D37" i="1" s="1"/>
  <c r="D66" i="1" s="1"/>
  <c r="D94" i="1" s="1"/>
  <c r="D95" i="1" s="1"/>
  <c r="O66" i="1" l="1"/>
  <c r="O94" i="1" s="1"/>
  <c r="O95" i="1" s="1"/>
  <c r="J66" i="1"/>
  <c r="J94" i="1" s="1"/>
  <c r="J95" i="1" s="1"/>
  <c r="I66" i="1"/>
  <c r="I94" i="1" s="1"/>
  <c r="I95" i="1" s="1"/>
  <c r="M66" i="1"/>
  <c r="M94" i="1" s="1"/>
  <c r="M95" i="1" s="1"/>
  <c r="E66" i="1"/>
  <c r="E94" i="1" s="1"/>
  <c r="E95" i="1" s="1"/>
  <c r="C66" i="1"/>
  <c r="C94" i="1" s="1"/>
  <c r="C95" i="1" s="1"/>
  <c r="P66" i="1"/>
  <c r="P94" i="1" s="1"/>
  <c r="P95" i="1" s="1"/>
  <c r="Q94" i="1"/>
  <c r="Q95" i="1" s="1"/>
</calcChain>
</file>

<file path=xl/sharedStrings.xml><?xml version="1.0" encoding="utf-8"?>
<sst xmlns="http://schemas.openxmlformats.org/spreadsheetml/2006/main" count="111" uniqueCount="111">
  <si>
    <t>8th Grade Basketball Game</t>
  </si>
  <si>
    <t>8th Grade Lawn Signs</t>
  </si>
  <si>
    <t>8th Grade Picnic</t>
  </si>
  <si>
    <t>Bingo</t>
  </si>
  <si>
    <t>Bucks for Bulldogs Fall Fundraiser</t>
  </si>
  <si>
    <t>Football Spring</t>
  </si>
  <si>
    <t>Ping Pong Winter</t>
  </si>
  <si>
    <t>Running Fall</t>
  </si>
  <si>
    <t>Running Spring</t>
  </si>
  <si>
    <t>Spirit Nights</t>
  </si>
  <si>
    <t>Sponsorship</t>
  </si>
  <si>
    <t>Spring Musical</t>
  </si>
  <si>
    <t>Theater Fall</t>
  </si>
  <si>
    <t>Volleyball Spring Clinic</t>
  </si>
  <si>
    <t>Writing Club</t>
  </si>
  <si>
    <t>TOTAL</t>
  </si>
  <si>
    <t>Revenue</t>
  </si>
  <si>
    <t xml:space="preserve">   Fall Theater Program</t>
  </si>
  <si>
    <t xml:space="preserve">      Fall Theater Concessions</t>
  </si>
  <si>
    <t xml:space="preserve">      Fall Theater Playbill Ads</t>
  </si>
  <si>
    <t xml:space="preserve">      Fall Theater Registration</t>
  </si>
  <si>
    <t xml:space="preserve">      Fall Theater Spirit Wear</t>
  </si>
  <si>
    <t xml:space="preserve">   Total Fall Theater Program</t>
  </si>
  <si>
    <t xml:space="preserve">   Fundraisers</t>
  </si>
  <si>
    <t xml:space="preserve">      4100 Sponsorships</t>
  </si>
  <si>
    <t xml:space="preserve">      4200 8th Grade Basketball Game</t>
  </si>
  <si>
    <t xml:space="preserve">      4300 8th Grade Lawn Signs</t>
  </si>
  <si>
    <t xml:space="preserve">      4400 Bingo</t>
  </si>
  <si>
    <t xml:space="preserve">      4500 Bucks for Bulldogs Fall Fundraiser</t>
  </si>
  <si>
    <t xml:space="preserve">      4600 Spirit Nights</t>
  </si>
  <si>
    <t xml:space="preserve">   Total Fundraisers</t>
  </si>
  <si>
    <t xml:space="preserve">   Musical Theater Program</t>
  </si>
  <si>
    <t xml:space="preserve">      Spring Musical Concessions</t>
  </si>
  <si>
    <t xml:space="preserve">      Spring Musical Registration</t>
  </si>
  <si>
    <t xml:space="preserve">      Spring Musical Sign &amp; Spirit Button Sales</t>
  </si>
  <si>
    <t xml:space="preserve">      Spring Musical Sponsorships</t>
  </si>
  <si>
    <t xml:space="preserve">      Spring Musical Ticket Sales</t>
  </si>
  <si>
    <t xml:space="preserve">   Total Musical Theater Program</t>
  </si>
  <si>
    <t xml:space="preserve">   Programs</t>
  </si>
  <si>
    <t xml:space="preserve">      8th Grade Picnic</t>
  </si>
  <si>
    <t xml:space="preserve">      ASA - Football Spring</t>
  </si>
  <si>
    <t xml:space="preserve">      ASA - Ping Pong Winter</t>
  </si>
  <si>
    <t xml:space="preserve">      ASA - Running Fall</t>
  </si>
  <si>
    <t xml:space="preserve">      ASA - Running Spring</t>
  </si>
  <si>
    <t xml:space="preserve">      ASA - Volleyball Spring Clinic</t>
  </si>
  <si>
    <t xml:space="preserve">      ASA - Writing Club</t>
  </si>
  <si>
    <t xml:space="preserve">   Total Programs</t>
  </si>
  <si>
    <t>Total Revenue</t>
  </si>
  <si>
    <t>Cost of Goods Sold</t>
  </si>
  <si>
    <t xml:space="preserve">   Fundraising Expenses</t>
  </si>
  <si>
    <t xml:space="preserve">      5100 General Fundraising Expenses</t>
  </si>
  <si>
    <t xml:space="preserve">      5200 Percentage to School</t>
  </si>
  <si>
    <t xml:space="preserve">      5300 Cost of Prizes</t>
  </si>
  <si>
    <t xml:space="preserve">   Total Fundraising Expenses</t>
  </si>
  <si>
    <t xml:space="preserve">   Program Expenses</t>
  </si>
  <si>
    <t xml:space="preserve">      General Program Expenses</t>
  </si>
  <si>
    <t xml:space="preserve">   Total Program Expenses</t>
  </si>
  <si>
    <t xml:space="preserve">   Theater Direct Costs</t>
  </si>
  <si>
    <t xml:space="preserve">      Bravos</t>
  </si>
  <si>
    <t xml:space="preserve">      Cast Party</t>
  </si>
  <si>
    <t xml:space="preserve">      Costumes/Props</t>
  </si>
  <si>
    <t xml:space="preserve">      Director</t>
  </si>
  <si>
    <t xml:space="preserve">      General &amp; Repair Expenses</t>
  </si>
  <si>
    <t xml:space="preserve">      General Concessions</t>
  </si>
  <si>
    <t xml:space="preserve">      General Marketing</t>
  </si>
  <si>
    <t xml:space="preserve">      Gifts/Cast Picture Frame</t>
  </si>
  <si>
    <t xml:space="preserve">      Hair/Makeup</t>
  </si>
  <si>
    <t xml:space="preserve">      Production Manager</t>
  </si>
  <si>
    <t xml:space="preserve">      Registration CC Fees</t>
  </si>
  <si>
    <t xml:space="preserve">      Rehearsal Snacks</t>
  </si>
  <si>
    <t xml:space="preserve">      Royalties, Licenses, and Scripts</t>
  </si>
  <si>
    <t xml:space="preserve">      Set Saturdays Meals</t>
  </si>
  <si>
    <t xml:space="preserve">      Sets/Paint</t>
  </si>
  <si>
    <t xml:space="preserve">      Theater Shirts</t>
  </si>
  <si>
    <t xml:space="preserve">   Total Theater Direct Costs</t>
  </si>
  <si>
    <t>Total Cost of Goods Sold</t>
  </si>
  <si>
    <t>Gross Profit</t>
  </si>
  <si>
    <t>Expenditures</t>
  </si>
  <si>
    <t xml:space="preserve">   8th Grade House Grant</t>
  </si>
  <si>
    <t xml:space="preserve">   Accounting Software</t>
  </si>
  <si>
    <t xml:space="preserve">   Bank Charges</t>
  </si>
  <si>
    <t xml:space="preserve">   BRMS Student Group Grant (Odyssey of the Mind)</t>
  </si>
  <si>
    <t xml:space="preserve">   BRMS Yearbook Club Staff</t>
  </si>
  <si>
    <t xml:space="preserve">   Bulldog Mile</t>
  </si>
  <si>
    <t xml:space="preserve">   Bulldog Trivia</t>
  </si>
  <si>
    <t xml:space="preserve">   Classroom Grant</t>
  </si>
  <si>
    <t xml:space="preserve">   Club Grant</t>
  </si>
  <si>
    <t xml:space="preserve">   CPA Fees</t>
  </si>
  <si>
    <t xml:space="preserve">   Docusign</t>
  </si>
  <si>
    <t xml:space="preserve">   First Day Back Decorations</t>
  </si>
  <si>
    <t xml:space="preserve">   Health and PE Grant</t>
  </si>
  <si>
    <t xml:space="preserve">   Hospitality/Staff Appreciation</t>
  </si>
  <si>
    <t xml:space="preserve">   Ida Lee 6th Grade</t>
  </si>
  <si>
    <t xml:space="preserve">   Ida Lee 7th Grade</t>
  </si>
  <si>
    <t xml:space="preserve">   LVHS Scholarship</t>
  </si>
  <si>
    <t xml:space="preserve">   Postage Expense</t>
  </si>
  <si>
    <t xml:space="preserve">   PTO Expenses</t>
  </si>
  <si>
    <t xml:space="preserve">   PTO Insurance</t>
  </si>
  <si>
    <t xml:space="preserve">   Rising 6th Grade Welcome T-Shirts</t>
  </si>
  <si>
    <t xml:space="preserve">   Specials Grant (Supplies, art, music, class pet)</t>
  </si>
  <si>
    <t xml:space="preserve">   Taxes</t>
  </si>
  <si>
    <t xml:space="preserve">   Unallocated Funds</t>
  </si>
  <si>
    <t xml:space="preserve">   VA Licenses and Permits Expense</t>
  </si>
  <si>
    <t>Total Expenditures</t>
  </si>
  <si>
    <t>Net Operating Revenue</t>
  </si>
  <si>
    <t>Net Revenue</t>
  </si>
  <si>
    <t>Monday, Aug 04, 2025 10:11:32 AM GMT-7 - Cash Basis</t>
  </si>
  <si>
    <t>Blue Ridge Middle School PTO</t>
  </si>
  <si>
    <t>Statement of Activity</t>
  </si>
  <si>
    <t>July 2024 - June 2025</t>
  </si>
  <si>
    <t>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</si>
</sst>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#,##0.00\ _€"/>
    <numFmt numFmtId="165" formatCode="&quot;$&quot;* #,##0.00\ _€"/>
    <numFmt numFmtId="166" formatCode="_(&quot;$&quot;* #,##0_);_(&quot;$&quot;* \(#,##0\);_(&quot;$&quot;* &quot;-&quot;??_);_(@_)"/>
  </numFmts>
  <fonts count="10" x14ac:knownFonts="1">
    <font>
      <sz val="11"/>
      <color indexed="8"/>
      <name val="Aptos Narrow"/>
      <family val="2"/>
      <scheme val="minor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8"/>
      <color rgb="FF3E396B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164" fontId="3" fillId="0" borderId="0" xfId="0" applyNumberFormat="1" applyFont="1" applyAlignment="1">
      <alignment wrapText="1"/>
    </xf>
    <xf numFmtId="0" fontId="4" fillId="0" borderId="0" xfId="0" applyFont="1"/>
    <xf numFmtId="0" fontId="5" fillId="0" borderId="0" xfId="0" applyFont="1"/>
    <xf numFmtId="4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8" fillId="0" borderId="1" xfId="0" applyFont="1" applyBorder="1" applyAlignment="1">
      <alignment horizontal="center" wrapText="1"/>
    </xf>
    <xf numFmtId="166" fontId="3" fillId="0" borderId="0" xfId="1" applyNumberFormat="1" applyFont="1" applyFill="1" applyAlignment="1">
      <alignment wrapText="1"/>
    </xf>
    <xf numFmtId="166" fontId="3" fillId="0" borderId="0" xfId="1" applyNumberFormat="1" applyFont="1" applyFill="1" applyAlignment="1">
      <alignment horizontal="right" wrapText="1"/>
    </xf>
    <xf numFmtId="166" fontId="2" fillId="0" borderId="2" xfId="1" applyNumberFormat="1" applyFont="1" applyFill="1" applyBorder="1" applyAlignment="1">
      <alignment horizontal="right" wrapText="1"/>
    </xf>
    <xf numFmtId="166" fontId="9" fillId="0" borderId="3" xfId="1" applyNumberFormat="1" applyFont="1" applyFill="1" applyBorder="1" applyAlignment="1">
      <alignment horizontal="right" wrapText="1"/>
    </xf>
    <xf numFmtId="166" fontId="2" fillId="0" borderId="3" xfId="1" applyNumberFormat="1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0" fontId="0" fillId="0" borderId="0" xfId="0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9"/>
  <sheetViews>
    <sheetView tabSelected="1" topLeftCell="A72" workbookViewId="0">
      <selection activeCell="Q91" sqref="Q91"/>
    </sheetView>
  </sheetViews>
  <sheetFormatPr defaultRowHeight="14.4" outlineLevelCol="1" x14ac:dyDescent="0.3"/>
  <cols>
    <col min="1" max="1" width="39.88671875" bestFit="1" customWidth="1"/>
    <col min="2" max="2" width="7.5546875" hidden="1" customWidth="1" outlineLevel="1"/>
    <col min="3" max="4" width="8.5546875" hidden="1" customWidth="1" outlineLevel="1"/>
    <col min="5" max="5" width="6.77734375" hidden="1" customWidth="1" outlineLevel="1"/>
    <col min="6" max="6" width="9.33203125" hidden="1" customWidth="1" outlineLevel="1"/>
    <col min="7" max="10" width="8" hidden="1" customWidth="1" outlineLevel="1"/>
    <col min="11" max="11" width="6.77734375" hidden="1" customWidth="1" outlineLevel="1"/>
    <col min="12" max="12" width="8.33203125" hidden="1" customWidth="1" outlineLevel="1"/>
    <col min="13" max="13" width="8.77734375" hidden="1" customWidth="1" outlineLevel="1"/>
    <col min="14" max="14" width="8" hidden="1" customWidth="1" outlineLevel="1"/>
    <col min="15" max="15" width="8.21875" hidden="1" customWidth="1" outlineLevel="1"/>
    <col min="16" max="16" width="6.77734375" hidden="1" customWidth="1" outlineLevel="1"/>
    <col min="17" max="17" width="9.21875" hidden="1" customWidth="1" outlineLevel="1"/>
    <col min="18" max="18" width="8.77734375" bestFit="1" customWidth="1" collapsed="1"/>
    <col min="19" max="19" width="10.21875" bestFit="1" customWidth="1"/>
    <col min="22" max="22" width="11.44140625" bestFit="1" customWidth="1"/>
  </cols>
  <sheetData>
    <row r="1" spans="1:18" ht="17.399999999999999" x14ac:dyDescent="0.3">
      <c r="A1" s="5" t="s">
        <v>107</v>
      </c>
    </row>
    <row r="2" spans="1:18" ht="17.399999999999999" x14ac:dyDescent="0.3">
      <c r="A2" s="5" t="s">
        <v>108</v>
      </c>
    </row>
    <row r="3" spans="1:18" x14ac:dyDescent="0.3">
      <c r="A3" s="6" t="s">
        <v>109</v>
      </c>
    </row>
    <row r="5" spans="1:18" ht="48.6" x14ac:dyDescent="0.3">
      <c r="A5" s="1"/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  <c r="G5" s="2" t="s">
        <v>5</v>
      </c>
      <c r="H5" s="2" t="s">
        <v>6</v>
      </c>
      <c r="I5" s="2" t="s">
        <v>7</v>
      </c>
      <c r="J5" s="2" t="s">
        <v>8</v>
      </c>
      <c r="K5" s="2" t="s">
        <v>9</v>
      </c>
      <c r="L5" s="2" t="s">
        <v>10</v>
      </c>
      <c r="M5" s="2" t="s">
        <v>11</v>
      </c>
      <c r="N5" s="2" t="s">
        <v>12</v>
      </c>
      <c r="O5" s="2" t="s">
        <v>13</v>
      </c>
      <c r="P5" s="2" t="s">
        <v>14</v>
      </c>
      <c r="Q5" s="13" t="s">
        <v>110</v>
      </c>
      <c r="R5" s="2" t="s">
        <v>15</v>
      </c>
    </row>
    <row r="6" spans="1:18" x14ac:dyDescent="0.3">
      <c r="A6" s="3" t="s">
        <v>16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3" t="s">
        <v>17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5"/>
    </row>
    <row r="8" spans="1:18" x14ac:dyDescent="0.3">
      <c r="A8" s="3" t="s">
        <v>18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5">
        <f>494.72</f>
        <v>494.72</v>
      </c>
      <c r="O8" s="14"/>
      <c r="P8" s="14"/>
      <c r="Q8" s="14"/>
      <c r="R8" s="15">
        <f>SUM(B8:Q8)</f>
        <v>494.72</v>
      </c>
    </row>
    <row r="9" spans="1:18" x14ac:dyDescent="0.3">
      <c r="A9" s="3" t="s">
        <v>19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5">
        <f>268.11</f>
        <v>268.11</v>
      </c>
      <c r="O9" s="14"/>
      <c r="P9" s="14"/>
      <c r="Q9" s="14"/>
      <c r="R9" s="15">
        <f>SUM(B9:Q9)</f>
        <v>268.11</v>
      </c>
    </row>
    <row r="10" spans="1:18" x14ac:dyDescent="0.3">
      <c r="A10" s="3" t="s">
        <v>20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5">
        <f>7467.36</f>
        <v>7467.36</v>
      </c>
      <c r="O10" s="14"/>
      <c r="P10" s="14"/>
      <c r="Q10" s="14"/>
      <c r="R10" s="15">
        <f>SUM(B10:Q10)</f>
        <v>7467.36</v>
      </c>
    </row>
    <row r="11" spans="1:18" x14ac:dyDescent="0.3">
      <c r="A11" s="3" t="s">
        <v>21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5">
        <f>190</f>
        <v>190</v>
      </c>
      <c r="O11" s="14"/>
      <c r="P11" s="14"/>
      <c r="Q11" s="14"/>
      <c r="R11" s="15">
        <f>SUM(B11:Q11)</f>
        <v>190</v>
      </c>
    </row>
    <row r="12" spans="1:18" x14ac:dyDescent="0.3">
      <c r="A12" s="3" t="s">
        <v>22</v>
      </c>
      <c r="B12" s="16">
        <f t="shared" ref="B12:P12" si="0">((((B7)+(B8))+(B9))+(B10))+(B11)</f>
        <v>0</v>
      </c>
      <c r="C12" s="16">
        <f t="shared" si="0"/>
        <v>0</v>
      </c>
      <c r="D12" s="16">
        <f t="shared" si="0"/>
        <v>0</v>
      </c>
      <c r="E12" s="16">
        <f t="shared" si="0"/>
        <v>0</v>
      </c>
      <c r="F12" s="16">
        <f t="shared" si="0"/>
        <v>0</v>
      </c>
      <c r="G12" s="16">
        <f t="shared" si="0"/>
        <v>0</v>
      </c>
      <c r="H12" s="16">
        <f t="shared" si="0"/>
        <v>0</v>
      </c>
      <c r="I12" s="16">
        <f t="shared" si="0"/>
        <v>0</v>
      </c>
      <c r="J12" s="16">
        <f t="shared" si="0"/>
        <v>0</v>
      </c>
      <c r="K12" s="16">
        <f t="shared" si="0"/>
        <v>0</v>
      </c>
      <c r="L12" s="16">
        <f t="shared" si="0"/>
        <v>0</v>
      </c>
      <c r="M12" s="16">
        <f t="shared" si="0"/>
        <v>0</v>
      </c>
      <c r="N12" s="16">
        <f t="shared" si="0"/>
        <v>8420.19</v>
      </c>
      <c r="O12" s="16">
        <f t="shared" si="0"/>
        <v>0</v>
      </c>
      <c r="P12" s="16">
        <f t="shared" si="0"/>
        <v>0</v>
      </c>
      <c r="Q12" s="16">
        <f>((((Q7)+(Q8))+(Q9))+(Q10))+(Q11)</f>
        <v>0</v>
      </c>
      <c r="R12" s="17">
        <f>SUM(B12:Q12)</f>
        <v>8420.19</v>
      </c>
    </row>
    <row r="13" spans="1:18" x14ac:dyDescent="0.3">
      <c r="A13" s="3" t="s">
        <v>23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5"/>
    </row>
    <row r="14" spans="1:18" x14ac:dyDescent="0.3">
      <c r="A14" s="3" t="s">
        <v>24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5">
        <f>9768.71</f>
        <v>9768.7099999999991</v>
      </c>
      <c r="M14" s="14"/>
      <c r="N14" s="14"/>
      <c r="O14" s="14"/>
      <c r="P14" s="14"/>
      <c r="Q14" s="14"/>
      <c r="R14" s="15">
        <f t="shared" ref="R14:R20" si="1">SUM(B14:Q14)</f>
        <v>9768.7099999999991</v>
      </c>
    </row>
    <row r="15" spans="1:18" x14ac:dyDescent="0.3">
      <c r="A15" s="3" t="s">
        <v>25</v>
      </c>
      <c r="B15" s="15">
        <f>912.99</f>
        <v>912.99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5">
        <f t="shared" si="1"/>
        <v>912.99</v>
      </c>
    </row>
    <row r="16" spans="1:18" x14ac:dyDescent="0.3">
      <c r="A16" s="3" t="s">
        <v>26</v>
      </c>
      <c r="B16" s="14"/>
      <c r="C16" s="15">
        <f>2541.56</f>
        <v>2541.56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5">
        <f t="shared" si="1"/>
        <v>2541.56</v>
      </c>
    </row>
    <row r="17" spans="1:22" x14ac:dyDescent="0.3">
      <c r="A17" s="3" t="s">
        <v>27</v>
      </c>
      <c r="B17" s="14"/>
      <c r="C17" s="14"/>
      <c r="D17" s="14"/>
      <c r="E17" s="15">
        <f>484.01</f>
        <v>484.01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5">
        <f t="shared" si="1"/>
        <v>484.01</v>
      </c>
    </row>
    <row r="18" spans="1:22" x14ac:dyDescent="0.3">
      <c r="A18" s="3" t="s">
        <v>28</v>
      </c>
      <c r="B18" s="14"/>
      <c r="C18" s="14"/>
      <c r="D18" s="14"/>
      <c r="E18" s="14"/>
      <c r="F18" s="15">
        <f>16302.86</f>
        <v>16302.86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5">
        <f t="shared" si="1"/>
        <v>16302.86</v>
      </c>
    </row>
    <row r="19" spans="1:22" x14ac:dyDescent="0.3">
      <c r="A19" s="3" t="s">
        <v>29</v>
      </c>
      <c r="B19" s="14"/>
      <c r="C19" s="14"/>
      <c r="D19" s="14"/>
      <c r="E19" s="14"/>
      <c r="F19" s="14"/>
      <c r="G19" s="14"/>
      <c r="H19" s="14"/>
      <c r="I19" s="14"/>
      <c r="J19" s="14"/>
      <c r="K19" s="15">
        <f>409.5</f>
        <v>409.5</v>
      </c>
      <c r="L19" s="14"/>
      <c r="M19" s="14"/>
      <c r="N19" s="14"/>
      <c r="O19" s="14"/>
      <c r="P19" s="14"/>
      <c r="Q19" s="14"/>
      <c r="R19" s="15">
        <f t="shared" si="1"/>
        <v>409.5</v>
      </c>
    </row>
    <row r="20" spans="1:22" x14ac:dyDescent="0.3">
      <c r="A20" s="3" t="s">
        <v>30</v>
      </c>
      <c r="B20" s="16">
        <f t="shared" ref="B20:P20" si="2">((((((B13)+(B14))+(B15))+(B16))+(B17))+(B18))+(B19)</f>
        <v>912.99</v>
      </c>
      <c r="C20" s="16">
        <f t="shared" si="2"/>
        <v>2541.56</v>
      </c>
      <c r="D20" s="16">
        <f t="shared" si="2"/>
        <v>0</v>
      </c>
      <c r="E20" s="16">
        <f t="shared" si="2"/>
        <v>484.01</v>
      </c>
      <c r="F20" s="16">
        <f t="shared" si="2"/>
        <v>16302.86</v>
      </c>
      <c r="G20" s="16">
        <f t="shared" si="2"/>
        <v>0</v>
      </c>
      <c r="H20" s="16">
        <f t="shared" si="2"/>
        <v>0</v>
      </c>
      <c r="I20" s="16">
        <f t="shared" si="2"/>
        <v>0</v>
      </c>
      <c r="J20" s="16">
        <f t="shared" si="2"/>
        <v>0</v>
      </c>
      <c r="K20" s="16">
        <f t="shared" si="2"/>
        <v>409.5</v>
      </c>
      <c r="L20" s="16">
        <f t="shared" si="2"/>
        <v>9768.7099999999991</v>
      </c>
      <c r="M20" s="16">
        <f t="shared" si="2"/>
        <v>0</v>
      </c>
      <c r="N20" s="16">
        <f t="shared" si="2"/>
        <v>0</v>
      </c>
      <c r="O20" s="16">
        <f t="shared" si="2"/>
        <v>0</v>
      </c>
      <c r="P20" s="16">
        <f t="shared" si="2"/>
        <v>0</v>
      </c>
      <c r="Q20" s="16">
        <f>((((((Q13)+(Q14))+(Q15))+(Q16))+(Q17))+(Q18))+(Q19)</f>
        <v>0</v>
      </c>
      <c r="R20" s="17">
        <f t="shared" si="1"/>
        <v>30419.63</v>
      </c>
      <c r="S20" s="7"/>
    </row>
    <row r="21" spans="1:22" x14ac:dyDescent="0.3">
      <c r="A21" s="3" t="s">
        <v>31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5"/>
    </row>
    <row r="22" spans="1:22" x14ac:dyDescent="0.3">
      <c r="A22" s="3" t="s">
        <v>32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5">
        <f>3766.63</f>
        <v>3766.63</v>
      </c>
      <c r="N22" s="14"/>
      <c r="O22" s="14"/>
      <c r="P22" s="14"/>
      <c r="Q22" s="14"/>
      <c r="R22" s="15">
        <f t="shared" ref="R22:R27" si="3">SUM(B22:Q22)</f>
        <v>3766.63</v>
      </c>
    </row>
    <row r="23" spans="1:22" x14ac:dyDescent="0.3">
      <c r="A23" s="3" t="s">
        <v>33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5">
        <f>14823.69</f>
        <v>14823.69</v>
      </c>
      <c r="N23" s="14"/>
      <c r="O23" s="14"/>
      <c r="P23" s="14"/>
      <c r="Q23" s="14"/>
      <c r="R23" s="15">
        <f t="shared" si="3"/>
        <v>14823.69</v>
      </c>
    </row>
    <row r="24" spans="1:22" x14ac:dyDescent="0.3">
      <c r="A24" s="3" t="s">
        <v>34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5">
        <f>636.33</f>
        <v>636.33000000000004</v>
      </c>
      <c r="N24" s="14"/>
      <c r="O24" s="14"/>
      <c r="P24" s="14"/>
      <c r="Q24" s="14"/>
      <c r="R24" s="15">
        <f t="shared" si="3"/>
        <v>636.33000000000004</v>
      </c>
    </row>
    <row r="25" spans="1:22" x14ac:dyDescent="0.3">
      <c r="A25" s="3" t="s">
        <v>35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>
        <f>7313.06</f>
        <v>7313.06</v>
      </c>
      <c r="N25" s="14"/>
      <c r="O25" s="14"/>
      <c r="P25" s="14"/>
      <c r="Q25" s="14"/>
      <c r="R25" s="15">
        <f t="shared" si="3"/>
        <v>7313.06</v>
      </c>
    </row>
    <row r="26" spans="1:22" x14ac:dyDescent="0.3">
      <c r="A26" s="3" t="s">
        <v>36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5">
        <f>14858.31</f>
        <v>14858.31</v>
      </c>
      <c r="N26" s="14"/>
      <c r="O26" s="14"/>
      <c r="P26" s="14"/>
      <c r="Q26" s="14"/>
      <c r="R26" s="15">
        <f t="shared" si="3"/>
        <v>14858.31</v>
      </c>
    </row>
    <row r="27" spans="1:22" x14ac:dyDescent="0.3">
      <c r="A27" s="3" t="s">
        <v>37</v>
      </c>
      <c r="B27" s="16">
        <f t="shared" ref="B27:P27" si="4">(((((B21)+(B22))+(B23))+(B24))+(B25))+(B26)</f>
        <v>0</v>
      </c>
      <c r="C27" s="16">
        <f t="shared" si="4"/>
        <v>0</v>
      </c>
      <c r="D27" s="16">
        <f t="shared" si="4"/>
        <v>0</v>
      </c>
      <c r="E27" s="16">
        <f t="shared" si="4"/>
        <v>0</v>
      </c>
      <c r="F27" s="16">
        <f t="shared" si="4"/>
        <v>0</v>
      </c>
      <c r="G27" s="16">
        <f t="shared" si="4"/>
        <v>0</v>
      </c>
      <c r="H27" s="16">
        <f t="shared" si="4"/>
        <v>0</v>
      </c>
      <c r="I27" s="16">
        <f t="shared" si="4"/>
        <v>0</v>
      </c>
      <c r="J27" s="16">
        <f t="shared" si="4"/>
        <v>0</v>
      </c>
      <c r="K27" s="16">
        <f t="shared" si="4"/>
        <v>0</v>
      </c>
      <c r="L27" s="16">
        <f t="shared" si="4"/>
        <v>0</v>
      </c>
      <c r="M27" s="16">
        <f t="shared" si="4"/>
        <v>41398.020000000004</v>
      </c>
      <c r="N27" s="16">
        <f t="shared" si="4"/>
        <v>0</v>
      </c>
      <c r="O27" s="16">
        <f t="shared" si="4"/>
        <v>0</v>
      </c>
      <c r="P27" s="16">
        <f t="shared" si="4"/>
        <v>0</v>
      </c>
      <c r="Q27" s="16">
        <f>(((((Q21)+(Q22))+(Q23))+(Q24))+(Q25))+(Q26)</f>
        <v>0</v>
      </c>
      <c r="R27" s="17">
        <f t="shared" si="3"/>
        <v>41398.020000000004</v>
      </c>
    </row>
    <row r="28" spans="1:22" x14ac:dyDescent="0.3">
      <c r="A28" s="3" t="s">
        <v>38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5"/>
    </row>
    <row r="29" spans="1:22" x14ac:dyDescent="0.3">
      <c r="A29" s="3" t="s">
        <v>39</v>
      </c>
      <c r="B29" s="14"/>
      <c r="C29" s="14"/>
      <c r="D29" s="15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5">
        <f>SUM(B29:Q29)</f>
        <v>0</v>
      </c>
    </row>
    <row r="30" spans="1:22" x14ac:dyDescent="0.3">
      <c r="A30" s="3" t="s">
        <v>40</v>
      </c>
      <c r="B30" s="14"/>
      <c r="C30" s="14"/>
      <c r="D30" s="14"/>
      <c r="E30" s="14"/>
      <c r="F30" s="14"/>
      <c r="G30" s="15">
        <f>1365.95</f>
        <v>1365.95</v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5">
        <f>SUM(B30:Q30)</f>
        <v>1365.95</v>
      </c>
      <c r="U30" s="12"/>
      <c r="V30" s="8"/>
    </row>
    <row r="31" spans="1:22" x14ac:dyDescent="0.3">
      <c r="A31" s="3" t="s">
        <v>41</v>
      </c>
      <c r="B31" s="14"/>
      <c r="C31" s="14"/>
      <c r="D31" s="14"/>
      <c r="E31" s="14"/>
      <c r="F31" s="14"/>
      <c r="G31" s="14"/>
      <c r="H31" s="15">
        <f>1015.08</f>
        <v>1015.08</v>
      </c>
      <c r="I31" s="14"/>
      <c r="J31" s="14"/>
      <c r="K31" s="14"/>
      <c r="L31" s="14"/>
      <c r="M31" s="14"/>
      <c r="N31" s="14"/>
      <c r="O31" s="14"/>
      <c r="P31" s="14"/>
      <c r="Q31" s="14"/>
      <c r="R31" s="15">
        <f t="shared" ref="R31:R37" si="5">SUM(B31:Q31)</f>
        <v>1015.08</v>
      </c>
      <c r="V31" s="9"/>
    </row>
    <row r="32" spans="1:22" x14ac:dyDescent="0.3">
      <c r="A32" s="3" t="s">
        <v>42</v>
      </c>
      <c r="B32" s="14"/>
      <c r="C32" s="14"/>
      <c r="D32" s="14"/>
      <c r="E32" s="14"/>
      <c r="F32" s="14"/>
      <c r="G32" s="14"/>
      <c r="H32" s="14"/>
      <c r="I32" s="15">
        <f>3960.68</f>
        <v>3960.68</v>
      </c>
      <c r="J32" s="14"/>
      <c r="K32" s="14"/>
      <c r="L32" s="14"/>
      <c r="M32" s="14"/>
      <c r="N32" s="14"/>
      <c r="O32" s="14"/>
      <c r="P32" s="14"/>
      <c r="Q32" s="14"/>
      <c r="R32" s="15">
        <f t="shared" si="5"/>
        <v>3960.68</v>
      </c>
      <c r="U32" s="12"/>
      <c r="V32" s="7"/>
    </row>
    <row r="33" spans="1:22" x14ac:dyDescent="0.3">
      <c r="A33" s="3" t="s">
        <v>43</v>
      </c>
      <c r="B33" s="14"/>
      <c r="C33" s="14"/>
      <c r="D33" s="14"/>
      <c r="E33" s="14"/>
      <c r="F33" s="14"/>
      <c r="G33" s="14"/>
      <c r="H33" s="14"/>
      <c r="I33" s="14"/>
      <c r="J33" s="15">
        <f>2917.71</f>
        <v>2917.71</v>
      </c>
      <c r="K33" s="14"/>
      <c r="L33" s="14"/>
      <c r="M33" s="14"/>
      <c r="N33" s="14"/>
      <c r="O33" s="14"/>
      <c r="P33" s="14"/>
      <c r="Q33" s="14"/>
      <c r="R33" s="15">
        <f t="shared" si="5"/>
        <v>2917.71</v>
      </c>
      <c r="V33" s="8"/>
    </row>
    <row r="34" spans="1:22" x14ac:dyDescent="0.3">
      <c r="A34" s="3" t="s">
        <v>44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5">
        <f>2410.5</f>
        <v>2410.5</v>
      </c>
      <c r="P34" s="14"/>
      <c r="Q34" s="14"/>
      <c r="R34" s="15">
        <f t="shared" si="5"/>
        <v>2410.5</v>
      </c>
    </row>
    <row r="35" spans="1:22" x14ac:dyDescent="0.3">
      <c r="A35" s="3" t="s">
        <v>45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5">
        <f>661.54</f>
        <v>661.54</v>
      </c>
      <c r="Q35" s="14"/>
      <c r="R35" s="15">
        <f t="shared" si="5"/>
        <v>661.54</v>
      </c>
    </row>
    <row r="36" spans="1:22" x14ac:dyDescent="0.3">
      <c r="A36" s="3" t="s">
        <v>46</v>
      </c>
      <c r="B36" s="16">
        <f t="shared" ref="B36:P36" si="6">(((((((B28)+(B29))+(B30))+(B31))+(B32))+(B33))+(B34))+(B35)</f>
        <v>0</v>
      </c>
      <c r="C36" s="16">
        <f t="shared" si="6"/>
        <v>0</v>
      </c>
      <c r="D36" s="16">
        <f t="shared" si="6"/>
        <v>0</v>
      </c>
      <c r="E36" s="16">
        <f t="shared" si="6"/>
        <v>0</v>
      </c>
      <c r="F36" s="16">
        <f t="shared" si="6"/>
        <v>0</v>
      </c>
      <c r="G36" s="16">
        <f t="shared" si="6"/>
        <v>1365.95</v>
      </c>
      <c r="H36" s="16">
        <f t="shared" si="6"/>
        <v>1015.08</v>
      </c>
      <c r="I36" s="16">
        <f t="shared" si="6"/>
        <v>3960.68</v>
      </c>
      <c r="J36" s="16">
        <f t="shared" si="6"/>
        <v>2917.71</v>
      </c>
      <c r="K36" s="16">
        <f t="shared" si="6"/>
        <v>0</v>
      </c>
      <c r="L36" s="16">
        <f t="shared" si="6"/>
        <v>0</v>
      </c>
      <c r="M36" s="16">
        <f t="shared" si="6"/>
        <v>0</v>
      </c>
      <c r="N36" s="16">
        <f t="shared" si="6"/>
        <v>0</v>
      </c>
      <c r="O36" s="16">
        <f t="shared" si="6"/>
        <v>2410.5</v>
      </c>
      <c r="P36" s="16">
        <f t="shared" si="6"/>
        <v>661.54</v>
      </c>
      <c r="Q36" s="16">
        <f>(((((((Q28)+(Q29))+(Q30))+(Q31))+(Q32))+(Q33))+(Q34))+(Q35)</f>
        <v>0</v>
      </c>
      <c r="R36" s="17">
        <f t="shared" si="5"/>
        <v>12331.46</v>
      </c>
      <c r="U36" s="10"/>
      <c r="V36" s="8"/>
    </row>
    <row r="37" spans="1:22" x14ac:dyDescent="0.3">
      <c r="A37" s="3" t="s">
        <v>47</v>
      </c>
      <c r="B37" s="16">
        <f t="shared" ref="B37:P37" si="7">(((B12)+(B20))+(B27))+(B36)</f>
        <v>912.99</v>
      </c>
      <c r="C37" s="16">
        <f t="shared" si="7"/>
        <v>2541.56</v>
      </c>
      <c r="D37" s="16">
        <f t="shared" si="7"/>
        <v>0</v>
      </c>
      <c r="E37" s="16">
        <f t="shared" si="7"/>
        <v>484.01</v>
      </c>
      <c r="F37" s="16">
        <f t="shared" si="7"/>
        <v>16302.86</v>
      </c>
      <c r="G37" s="16">
        <f t="shared" si="7"/>
        <v>1365.95</v>
      </c>
      <c r="H37" s="16">
        <f t="shared" si="7"/>
        <v>1015.08</v>
      </c>
      <c r="I37" s="16">
        <f t="shared" si="7"/>
        <v>3960.68</v>
      </c>
      <c r="J37" s="16">
        <f t="shared" si="7"/>
        <v>2917.71</v>
      </c>
      <c r="K37" s="16">
        <f t="shared" si="7"/>
        <v>409.5</v>
      </c>
      <c r="L37" s="16">
        <f t="shared" si="7"/>
        <v>9768.7099999999991</v>
      </c>
      <c r="M37" s="16">
        <f t="shared" si="7"/>
        <v>41398.020000000004</v>
      </c>
      <c r="N37" s="16">
        <f t="shared" si="7"/>
        <v>8420.19</v>
      </c>
      <c r="O37" s="16">
        <f t="shared" si="7"/>
        <v>2410.5</v>
      </c>
      <c r="P37" s="16">
        <f t="shared" si="7"/>
        <v>661.54</v>
      </c>
      <c r="Q37" s="16">
        <f>(((Q12)+(Q20))+(Q27))+(Q36)</f>
        <v>0</v>
      </c>
      <c r="R37" s="17">
        <f t="shared" si="5"/>
        <v>92569.3</v>
      </c>
      <c r="U37" s="10"/>
      <c r="V37" s="8"/>
    </row>
    <row r="38" spans="1:22" x14ac:dyDescent="0.3">
      <c r="A38" s="3" t="s">
        <v>48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U38" s="11"/>
      <c r="V38" s="8"/>
    </row>
    <row r="39" spans="1:22" x14ac:dyDescent="0.3">
      <c r="A39" s="3" t="s">
        <v>49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5"/>
      <c r="U39" s="12"/>
      <c r="V39" s="7"/>
    </row>
    <row r="40" spans="1:22" x14ac:dyDescent="0.3">
      <c r="A40" s="3" t="s">
        <v>50</v>
      </c>
      <c r="B40" s="15">
        <f>358.65</f>
        <v>358.65</v>
      </c>
      <c r="C40" s="15">
        <f>1350</f>
        <v>1350</v>
      </c>
      <c r="D40" s="14"/>
      <c r="E40" s="14"/>
      <c r="F40" s="15">
        <f>119.51</f>
        <v>119.51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5">
        <f t="shared" ref="R40:R95" si="8">SUM(B40:Q40)</f>
        <v>1828.16</v>
      </c>
    </row>
    <row r="41" spans="1:22" x14ac:dyDescent="0.3">
      <c r="A41" s="3" t="s">
        <v>51</v>
      </c>
      <c r="B41" s="14"/>
      <c r="C41" s="14"/>
      <c r="D41" s="14"/>
      <c r="E41" s="14"/>
      <c r="F41" s="15">
        <f>9310.1</f>
        <v>9310.1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5">
        <f t="shared" si="8"/>
        <v>9310.1</v>
      </c>
    </row>
    <row r="42" spans="1:22" x14ac:dyDescent="0.3">
      <c r="A42" s="3" t="s">
        <v>52</v>
      </c>
      <c r="B42" s="14"/>
      <c r="C42" s="14"/>
      <c r="D42" s="14"/>
      <c r="E42" s="14"/>
      <c r="F42" s="15">
        <f>1900.46</f>
        <v>1900.46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5">
        <f t="shared" si="8"/>
        <v>1900.46</v>
      </c>
    </row>
    <row r="43" spans="1:22" x14ac:dyDescent="0.3">
      <c r="A43" s="3" t="s">
        <v>53</v>
      </c>
      <c r="B43" s="16">
        <f t="shared" ref="B43:P43" si="9">(((B39)+(B40))+(B41))+(B42)</f>
        <v>358.65</v>
      </c>
      <c r="C43" s="16">
        <f t="shared" si="9"/>
        <v>1350</v>
      </c>
      <c r="D43" s="16">
        <f t="shared" si="9"/>
        <v>0</v>
      </c>
      <c r="E43" s="16">
        <f t="shared" si="9"/>
        <v>0</v>
      </c>
      <c r="F43" s="16">
        <f t="shared" si="9"/>
        <v>11330.07</v>
      </c>
      <c r="G43" s="16">
        <f t="shared" si="9"/>
        <v>0</v>
      </c>
      <c r="H43" s="16">
        <f t="shared" si="9"/>
        <v>0</v>
      </c>
      <c r="I43" s="16">
        <f t="shared" si="9"/>
        <v>0</v>
      </c>
      <c r="J43" s="16">
        <f t="shared" si="9"/>
        <v>0</v>
      </c>
      <c r="K43" s="16">
        <f t="shared" si="9"/>
        <v>0</v>
      </c>
      <c r="L43" s="16">
        <f t="shared" si="9"/>
        <v>0</v>
      </c>
      <c r="M43" s="16">
        <f t="shared" si="9"/>
        <v>0</v>
      </c>
      <c r="N43" s="16">
        <f t="shared" si="9"/>
        <v>0</v>
      </c>
      <c r="O43" s="16">
        <f t="shared" si="9"/>
        <v>0</v>
      </c>
      <c r="P43" s="16">
        <f t="shared" si="9"/>
        <v>0</v>
      </c>
      <c r="Q43" s="16">
        <f>(((Q39)+(Q40))+(Q41))+(Q42)</f>
        <v>0</v>
      </c>
      <c r="R43" s="17">
        <f t="shared" si="8"/>
        <v>13038.72</v>
      </c>
    </row>
    <row r="44" spans="1:22" x14ac:dyDescent="0.3">
      <c r="A44" s="3" t="s">
        <v>54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5"/>
    </row>
    <row r="45" spans="1:22" x14ac:dyDescent="0.3">
      <c r="A45" s="3" t="s">
        <v>55</v>
      </c>
      <c r="B45" s="14"/>
      <c r="C45" s="14"/>
      <c r="D45" s="15">
        <f>1125+3096.82</f>
        <v>4221.82</v>
      </c>
      <c r="E45" s="14"/>
      <c r="F45" s="14"/>
      <c r="G45" s="15">
        <f>1105</f>
        <v>1105</v>
      </c>
      <c r="H45" s="15">
        <f>735</f>
        <v>735</v>
      </c>
      <c r="I45" s="15">
        <f>3070</f>
        <v>3070</v>
      </c>
      <c r="J45" s="15">
        <f>2210</f>
        <v>2210</v>
      </c>
      <c r="K45" s="14"/>
      <c r="L45" s="14"/>
      <c r="M45" s="14"/>
      <c r="N45" s="14"/>
      <c r="O45" s="15">
        <f>1950</f>
        <v>1950</v>
      </c>
      <c r="P45" s="15">
        <f>600</f>
        <v>600</v>
      </c>
      <c r="Q45" s="14"/>
      <c r="R45" s="15">
        <f t="shared" si="8"/>
        <v>13891.82</v>
      </c>
    </row>
    <row r="46" spans="1:22" x14ac:dyDescent="0.3">
      <c r="A46" s="3" t="s">
        <v>56</v>
      </c>
      <c r="B46" s="16">
        <f t="shared" ref="B46:P46" si="10">(B44)+(B45)</f>
        <v>0</v>
      </c>
      <c r="C46" s="16">
        <f t="shared" si="10"/>
        <v>0</v>
      </c>
      <c r="D46" s="16">
        <f t="shared" si="10"/>
        <v>4221.82</v>
      </c>
      <c r="E46" s="16">
        <f t="shared" si="10"/>
        <v>0</v>
      </c>
      <c r="F46" s="16">
        <f t="shared" si="10"/>
        <v>0</v>
      </c>
      <c r="G46" s="16">
        <f t="shared" si="10"/>
        <v>1105</v>
      </c>
      <c r="H46" s="16">
        <f t="shared" si="10"/>
        <v>735</v>
      </c>
      <c r="I46" s="16">
        <f t="shared" si="10"/>
        <v>3070</v>
      </c>
      <c r="J46" s="16">
        <f t="shared" si="10"/>
        <v>2210</v>
      </c>
      <c r="K46" s="16">
        <f t="shared" si="10"/>
        <v>0</v>
      </c>
      <c r="L46" s="16">
        <f t="shared" si="10"/>
        <v>0</v>
      </c>
      <c r="M46" s="16">
        <f t="shared" si="10"/>
        <v>0</v>
      </c>
      <c r="N46" s="16">
        <f t="shared" si="10"/>
        <v>0</v>
      </c>
      <c r="O46" s="16">
        <f t="shared" si="10"/>
        <v>1950</v>
      </c>
      <c r="P46" s="16">
        <f t="shared" si="10"/>
        <v>600</v>
      </c>
      <c r="Q46" s="16">
        <f>(Q44)+(Q45)</f>
        <v>0</v>
      </c>
      <c r="R46" s="17">
        <f t="shared" si="8"/>
        <v>13891.82</v>
      </c>
    </row>
    <row r="47" spans="1:22" x14ac:dyDescent="0.3">
      <c r="A47" s="3" t="s">
        <v>57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5"/>
    </row>
    <row r="48" spans="1:22" x14ac:dyDescent="0.3">
      <c r="A48" s="3" t="s">
        <v>58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5">
        <f>21.99</f>
        <v>21.99</v>
      </c>
      <c r="O48" s="14"/>
      <c r="P48" s="14"/>
      <c r="Q48" s="14"/>
      <c r="R48" s="15">
        <f t="shared" si="8"/>
        <v>21.99</v>
      </c>
    </row>
    <row r="49" spans="1:18" x14ac:dyDescent="0.3">
      <c r="A49" s="3" t="s">
        <v>59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5">
        <f>101.4</f>
        <v>101.4</v>
      </c>
      <c r="N49" s="14"/>
      <c r="O49" s="14"/>
      <c r="P49" s="14"/>
      <c r="Q49" s="14"/>
      <c r="R49" s="15">
        <f t="shared" si="8"/>
        <v>101.4</v>
      </c>
    </row>
    <row r="50" spans="1:18" x14ac:dyDescent="0.3">
      <c r="A50" s="3" t="s">
        <v>60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5">
        <f>5240.67</f>
        <v>5240.67</v>
      </c>
      <c r="N50" s="15">
        <f>614.14</f>
        <v>614.14</v>
      </c>
      <c r="O50" s="14"/>
      <c r="P50" s="14"/>
      <c r="Q50" s="14"/>
      <c r="R50" s="15">
        <f t="shared" si="8"/>
        <v>5854.81</v>
      </c>
    </row>
    <row r="51" spans="1:18" x14ac:dyDescent="0.3">
      <c r="A51" s="3" t="s">
        <v>61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5">
        <f>7999.98</f>
        <v>7999.98</v>
      </c>
      <c r="N51" s="15">
        <f>4700</f>
        <v>4700</v>
      </c>
      <c r="O51" s="14"/>
      <c r="P51" s="14"/>
      <c r="Q51" s="14"/>
      <c r="R51" s="15">
        <f t="shared" si="8"/>
        <v>12699.98</v>
      </c>
    </row>
    <row r="52" spans="1:18" x14ac:dyDescent="0.3">
      <c r="A52" s="3" t="s">
        <v>62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5">
        <f>8107.55</f>
        <v>8107.55</v>
      </c>
      <c r="N52" s="14"/>
      <c r="O52" s="14"/>
      <c r="P52" s="14"/>
      <c r="Q52" s="14"/>
      <c r="R52" s="15">
        <f t="shared" si="8"/>
        <v>8107.55</v>
      </c>
    </row>
    <row r="53" spans="1:18" x14ac:dyDescent="0.3">
      <c r="A53" s="3" t="s">
        <v>63</v>
      </c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5">
        <f>300.3</f>
        <v>300.3</v>
      </c>
      <c r="N53" s="15">
        <f>51.26</f>
        <v>51.26</v>
      </c>
      <c r="O53" s="14"/>
      <c r="P53" s="14"/>
      <c r="Q53" s="14"/>
      <c r="R53" s="15">
        <f t="shared" si="8"/>
        <v>351.56</v>
      </c>
    </row>
    <row r="54" spans="1:18" x14ac:dyDescent="0.3">
      <c r="A54" s="3" t="s">
        <v>64</v>
      </c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5">
        <f>2747.25</f>
        <v>2747.25</v>
      </c>
      <c r="N54" s="15">
        <f>340.58</f>
        <v>340.58</v>
      </c>
      <c r="O54" s="14"/>
      <c r="P54" s="14"/>
      <c r="Q54" s="14"/>
      <c r="R54" s="15">
        <f t="shared" si="8"/>
        <v>3087.83</v>
      </c>
    </row>
    <row r="55" spans="1:18" x14ac:dyDescent="0.3">
      <c r="A55" s="3" t="s">
        <v>65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5">
        <f>54.63</f>
        <v>54.63</v>
      </c>
      <c r="N55" s="14"/>
      <c r="O55" s="14"/>
      <c r="P55" s="14"/>
      <c r="Q55" s="14"/>
      <c r="R55" s="15">
        <f t="shared" si="8"/>
        <v>54.63</v>
      </c>
    </row>
    <row r="56" spans="1:18" x14ac:dyDescent="0.3">
      <c r="A56" s="3" t="s">
        <v>66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5">
        <f>660.58</f>
        <v>660.58</v>
      </c>
      <c r="N56" s="14"/>
      <c r="O56" s="14"/>
      <c r="P56" s="14"/>
      <c r="Q56" s="14"/>
      <c r="R56" s="15">
        <f t="shared" si="8"/>
        <v>660.58</v>
      </c>
    </row>
    <row r="57" spans="1:18" x14ac:dyDescent="0.3">
      <c r="A57" s="3" t="s">
        <v>67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5">
        <f>3499.98</f>
        <v>3499.98</v>
      </c>
      <c r="N57" s="15">
        <f>1200</f>
        <v>1200</v>
      </c>
      <c r="O57" s="14"/>
      <c r="P57" s="14"/>
      <c r="Q57" s="14"/>
      <c r="R57" s="15">
        <f t="shared" si="8"/>
        <v>4699.9799999999996</v>
      </c>
    </row>
    <row r="58" spans="1:18" x14ac:dyDescent="0.3">
      <c r="A58" s="3" t="s">
        <v>68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5">
        <f>192.82</f>
        <v>192.82</v>
      </c>
      <c r="O58" s="14"/>
      <c r="P58" s="14"/>
      <c r="Q58" s="14"/>
      <c r="R58" s="15">
        <f t="shared" si="8"/>
        <v>192.82</v>
      </c>
    </row>
    <row r="59" spans="1:18" x14ac:dyDescent="0.3">
      <c r="A59" s="3" t="s">
        <v>69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5">
        <f>1426.37</f>
        <v>1426.37</v>
      </c>
      <c r="N59" s="14"/>
      <c r="O59" s="14"/>
      <c r="P59" s="14"/>
      <c r="Q59" s="14"/>
      <c r="R59" s="15">
        <f t="shared" si="8"/>
        <v>1426.37</v>
      </c>
    </row>
    <row r="60" spans="1:18" x14ac:dyDescent="0.3">
      <c r="A60" s="3" t="s">
        <v>70</v>
      </c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5">
        <f>1928</f>
        <v>1928</v>
      </c>
      <c r="N60" s="15">
        <f>727.69</f>
        <v>727.69</v>
      </c>
      <c r="O60" s="14"/>
      <c r="P60" s="14"/>
      <c r="Q60" s="14"/>
      <c r="R60" s="15">
        <f t="shared" si="8"/>
        <v>2655.69</v>
      </c>
    </row>
    <row r="61" spans="1:18" x14ac:dyDescent="0.3">
      <c r="A61" s="3" t="s">
        <v>71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5">
        <f>329.2</f>
        <v>329.2</v>
      </c>
      <c r="N61" s="14"/>
      <c r="O61" s="14"/>
      <c r="P61" s="14"/>
      <c r="Q61" s="14"/>
      <c r="R61" s="15">
        <f t="shared" si="8"/>
        <v>329.2</v>
      </c>
    </row>
    <row r="62" spans="1:18" x14ac:dyDescent="0.3">
      <c r="A62" s="3" t="s">
        <v>72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5">
        <f>2049.03</f>
        <v>2049.0300000000002</v>
      </c>
      <c r="N62" s="14"/>
      <c r="O62" s="14"/>
      <c r="P62" s="14"/>
      <c r="Q62" s="14"/>
      <c r="R62" s="15">
        <f t="shared" si="8"/>
        <v>2049.0300000000002</v>
      </c>
    </row>
    <row r="63" spans="1:18" x14ac:dyDescent="0.3">
      <c r="A63" s="3" t="s">
        <v>73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5">
        <f>1289.04</f>
        <v>1289.04</v>
      </c>
      <c r="N63" s="15">
        <f>157.53</f>
        <v>157.53</v>
      </c>
      <c r="O63" s="14"/>
      <c r="P63" s="14"/>
      <c r="Q63" s="14"/>
      <c r="R63" s="15">
        <f t="shared" si="8"/>
        <v>1446.57</v>
      </c>
    </row>
    <row r="64" spans="1:18" x14ac:dyDescent="0.3">
      <c r="A64" s="3" t="s">
        <v>74</v>
      </c>
      <c r="B64" s="16">
        <f t="shared" ref="B64:P64" si="11">((((((((((((((((B47)+(B48))+(B49))+(B50))+(B51))+(B52))+(B53))+(B54))+(B55))+(B56))+(B57))+(B58))+(B59))+(B60))+(B61))+(B62))+(B63)</f>
        <v>0</v>
      </c>
      <c r="C64" s="16">
        <f t="shared" si="11"/>
        <v>0</v>
      </c>
      <c r="D64" s="16">
        <f t="shared" si="11"/>
        <v>0</v>
      </c>
      <c r="E64" s="16">
        <f t="shared" si="11"/>
        <v>0</v>
      </c>
      <c r="F64" s="16">
        <f t="shared" si="11"/>
        <v>0</v>
      </c>
      <c r="G64" s="16">
        <f t="shared" si="11"/>
        <v>0</v>
      </c>
      <c r="H64" s="16">
        <f t="shared" si="11"/>
        <v>0</v>
      </c>
      <c r="I64" s="16">
        <f t="shared" si="11"/>
        <v>0</v>
      </c>
      <c r="J64" s="16">
        <f t="shared" si="11"/>
        <v>0</v>
      </c>
      <c r="K64" s="16">
        <f t="shared" si="11"/>
        <v>0</v>
      </c>
      <c r="L64" s="16">
        <f t="shared" si="11"/>
        <v>0</v>
      </c>
      <c r="M64" s="16">
        <f t="shared" si="11"/>
        <v>35733.980000000003</v>
      </c>
      <c r="N64" s="16">
        <f t="shared" si="11"/>
        <v>8006.0099999999993</v>
      </c>
      <c r="O64" s="16">
        <f t="shared" si="11"/>
        <v>0</v>
      </c>
      <c r="P64" s="16">
        <f t="shared" si="11"/>
        <v>0</v>
      </c>
      <c r="Q64" s="16">
        <f>((((((((((((((((Q47)+(Q48))+(Q49))+(Q50))+(Q51))+(Q52))+(Q53))+(Q54))+(Q55))+(Q56))+(Q57))+(Q58))+(Q59))+(Q60))+(Q61))+(Q62))+(Q63)</f>
        <v>0</v>
      </c>
      <c r="R64" s="17">
        <f t="shared" si="8"/>
        <v>43739.990000000005</v>
      </c>
    </row>
    <row r="65" spans="1:18" x14ac:dyDescent="0.3">
      <c r="A65" s="3" t="s">
        <v>75</v>
      </c>
      <c r="B65" s="16">
        <f t="shared" ref="B65:P65" si="12">((B43)+(B46))+(B64)</f>
        <v>358.65</v>
      </c>
      <c r="C65" s="16">
        <f t="shared" si="12"/>
        <v>1350</v>
      </c>
      <c r="D65" s="16">
        <f t="shared" si="12"/>
        <v>4221.82</v>
      </c>
      <c r="E65" s="16">
        <f t="shared" si="12"/>
        <v>0</v>
      </c>
      <c r="F65" s="16">
        <f t="shared" si="12"/>
        <v>11330.07</v>
      </c>
      <c r="G65" s="16">
        <f t="shared" si="12"/>
        <v>1105</v>
      </c>
      <c r="H65" s="16">
        <f t="shared" si="12"/>
        <v>735</v>
      </c>
      <c r="I65" s="16">
        <f t="shared" si="12"/>
        <v>3070</v>
      </c>
      <c r="J65" s="16">
        <f t="shared" si="12"/>
        <v>2210</v>
      </c>
      <c r="K65" s="16">
        <f t="shared" si="12"/>
        <v>0</v>
      </c>
      <c r="L65" s="16">
        <f t="shared" si="12"/>
        <v>0</v>
      </c>
      <c r="M65" s="16">
        <f t="shared" si="12"/>
        <v>35733.980000000003</v>
      </c>
      <c r="N65" s="16">
        <f t="shared" si="12"/>
        <v>8006.0099999999993</v>
      </c>
      <c r="O65" s="16">
        <f t="shared" si="12"/>
        <v>1950</v>
      </c>
      <c r="P65" s="16">
        <f t="shared" si="12"/>
        <v>600</v>
      </c>
      <c r="Q65" s="16">
        <f>((Q43)+(Q46))+(Q64)</f>
        <v>0</v>
      </c>
      <c r="R65" s="17">
        <f t="shared" si="8"/>
        <v>70670.53</v>
      </c>
    </row>
    <row r="66" spans="1:18" x14ac:dyDescent="0.3">
      <c r="A66" s="3" t="s">
        <v>76</v>
      </c>
      <c r="B66" s="16">
        <f t="shared" ref="B66:P66" si="13">(B37)-(B65)</f>
        <v>554.34</v>
      </c>
      <c r="C66" s="16">
        <f t="shared" si="13"/>
        <v>1191.56</v>
      </c>
      <c r="D66" s="16">
        <f t="shared" si="13"/>
        <v>-4221.82</v>
      </c>
      <c r="E66" s="16">
        <f t="shared" si="13"/>
        <v>484.01</v>
      </c>
      <c r="F66" s="16">
        <f t="shared" si="13"/>
        <v>4972.7900000000009</v>
      </c>
      <c r="G66" s="16">
        <f t="shared" si="13"/>
        <v>260.95000000000005</v>
      </c>
      <c r="H66" s="16">
        <f t="shared" si="13"/>
        <v>280.08000000000004</v>
      </c>
      <c r="I66" s="16">
        <f t="shared" si="13"/>
        <v>890.67999999999984</v>
      </c>
      <c r="J66" s="16">
        <f t="shared" si="13"/>
        <v>707.71</v>
      </c>
      <c r="K66" s="16">
        <f t="shared" si="13"/>
        <v>409.5</v>
      </c>
      <c r="L66" s="16">
        <f t="shared" si="13"/>
        <v>9768.7099999999991</v>
      </c>
      <c r="M66" s="16">
        <f t="shared" si="13"/>
        <v>5664.0400000000009</v>
      </c>
      <c r="N66" s="16">
        <f t="shared" si="13"/>
        <v>414.1800000000012</v>
      </c>
      <c r="O66" s="16">
        <f t="shared" si="13"/>
        <v>460.5</v>
      </c>
      <c r="P66" s="16">
        <f t="shared" si="13"/>
        <v>61.539999999999964</v>
      </c>
      <c r="Q66" s="16">
        <f>(Q37)-(Q65)</f>
        <v>0</v>
      </c>
      <c r="R66" s="17">
        <f t="shared" si="8"/>
        <v>21898.77</v>
      </c>
    </row>
    <row r="67" spans="1:18" x14ac:dyDescent="0.3">
      <c r="A67" s="3" t="s">
        <v>77</v>
      </c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</row>
    <row r="68" spans="1:18" x14ac:dyDescent="0.3">
      <c r="A68" s="3" t="s">
        <v>78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5">
        <v>723.12000000000012</v>
      </c>
      <c r="R68" s="15">
        <f t="shared" si="8"/>
        <v>723.12000000000012</v>
      </c>
    </row>
    <row r="69" spans="1:18" x14ac:dyDescent="0.3">
      <c r="A69" s="3" t="s">
        <v>79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5">
        <v>992.97</v>
      </c>
      <c r="R69" s="15">
        <f t="shared" si="8"/>
        <v>992.97</v>
      </c>
    </row>
    <row r="70" spans="1:18" x14ac:dyDescent="0.3">
      <c r="A70" s="3" t="s">
        <v>80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5">
        <v>2</v>
      </c>
      <c r="R70" s="15">
        <f t="shared" si="8"/>
        <v>2</v>
      </c>
    </row>
    <row r="71" spans="1:18" x14ac:dyDescent="0.3">
      <c r="A71" s="3" t="s">
        <v>81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5">
        <v>190</v>
      </c>
      <c r="R71" s="15">
        <f t="shared" si="8"/>
        <v>190</v>
      </c>
    </row>
    <row r="72" spans="1:18" x14ac:dyDescent="0.3">
      <c r="A72" s="3" t="s">
        <v>82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5">
        <v>500</v>
      </c>
      <c r="R72" s="15">
        <f t="shared" si="8"/>
        <v>500</v>
      </c>
    </row>
    <row r="73" spans="1:18" x14ac:dyDescent="0.3">
      <c r="A73" s="3" t="s">
        <v>83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5">
        <v>772.6</v>
      </c>
      <c r="R73" s="15">
        <f t="shared" si="8"/>
        <v>772.6</v>
      </c>
    </row>
    <row r="74" spans="1:18" x14ac:dyDescent="0.3">
      <c r="A74" s="3" t="s">
        <v>84</v>
      </c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>
        <v>270</v>
      </c>
      <c r="R74" s="15">
        <f t="shared" si="8"/>
        <v>270</v>
      </c>
    </row>
    <row r="75" spans="1:18" x14ac:dyDescent="0.3">
      <c r="A75" s="3" t="s">
        <v>85</v>
      </c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5">
        <v>1129.9000000000001</v>
      </c>
      <c r="R75" s="15">
        <f t="shared" si="8"/>
        <v>1129.9000000000001</v>
      </c>
    </row>
    <row r="76" spans="1:18" x14ac:dyDescent="0.3">
      <c r="A76" s="3" t="s">
        <v>86</v>
      </c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5">
        <v>34.04</v>
      </c>
      <c r="R76" s="15">
        <f t="shared" si="8"/>
        <v>34.04</v>
      </c>
    </row>
    <row r="77" spans="1:18" x14ac:dyDescent="0.3">
      <c r="A77" s="3" t="s">
        <v>87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5">
        <v>172.6</v>
      </c>
      <c r="R77" s="15">
        <f t="shared" si="8"/>
        <v>172.6</v>
      </c>
    </row>
    <row r="78" spans="1:18" x14ac:dyDescent="0.3">
      <c r="A78" s="3" t="s">
        <v>88</v>
      </c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5">
        <v>119.99</v>
      </c>
      <c r="R78" s="15">
        <f t="shared" si="8"/>
        <v>119.99</v>
      </c>
    </row>
    <row r="79" spans="1:18" x14ac:dyDescent="0.3">
      <c r="A79" s="3" t="s">
        <v>89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5">
        <v>400</v>
      </c>
      <c r="R79" s="15">
        <f t="shared" si="8"/>
        <v>400</v>
      </c>
    </row>
    <row r="80" spans="1:18" x14ac:dyDescent="0.3">
      <c r="A80" s="3" t="s">
        <v>90</v>
      </c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5">
        <v>365.75</v>
      </c>
      <c r="R80" s="15">
        <f t="shared" si="8"/>
        <v>365.75</v>
      </c>
    </row>
    <row r="81" spans="1:18" x14ac:dyDescent="0.3">
      <c r="A81" s="3" t="s">
        <v>91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5">
        <v>4238.8100000000004</v>
      </c>
      <c r="R81" s="15">
        <f t="shared" si="8"/>
        <v>4238.8100000000004</v>
      </c>
    </row>
    <row r="82" spans="1:18" x14ac:dyDescent="0.3">
      <c r="A82" s="3" t="s">
        <v>92</v>
      </c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5">
        <v>928</v>
      </c>
      <c r="R82" s="15">
        <f t="shared" si="8"/>
        <v>928</v>
      </c>
    </row>
    <row r="83" spans="1:18" x14ac:dyDescent="0.3">
      <c r="A83" s="3" t="s">
        <v>93</v>
      </c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5">
        <v>828</v>
      </c>
      <c r="R83" s="15">
        <f t="shared" si="8"/>
        <v>828</v>
      </c>
    </row>
    <row r="84" spans="1:18" x14ac:dyDescent="0.3">
      <c r="A84" s="3" t="s">
        <v>94</v>
      </c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>
        <v>1000</v>
      </c>
      <c r="R84" s="15">
        <f t="shared" si="8"/>
        <v>1000</v>
      </c>
    </row>
    <row r="85" spans="1:18" x14ac:dyDescent="0.3">
      <c r="A85" s="3" t="s">
        <v>95</v>
      </c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5">
        <v>57.95</v>
      </c>
      <c r="R85" s="15">
        <f t="shared" si="8"/>
        <v>57.95</v>
      </c>
    </row>
    <row r="86" spans="1:18" x14ac:dyDescent="0.3">
      <c r="A86" s="3" t="s">
        <v>96</v>
      </c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5">
        <v>532.53</v>
      </c>
      <c r="R86" s="15">
        <f t="shared" si="8"/>
        <v>532.53</v>
      </c>
    </row>
    <row r="87" spans="1:18" x14ac:dyDescent="0.3">
      <c r="A87" s="3" t="s">
        <v>97</v>
      </c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5">
        <v>318.77999999999997</v>
      </c>
      <c r="R87" s="15">
        <f t="shared" si="8"/>
        <v>318.77999999999997</v>
      </c>
    </row>
    <row r="88" spans="1:18" x14ac:dyDescent="0.3">
      <c r="A88" s="3" t="s">
        <v>98</v>
      </c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5">
        <v>2870.25</v>
      </c>
      <c r="R88" s="15">
        <f t="shared" si="8"/>
        <v>2870.25</v>
      </c>
    </row>
    <row r="89" spans="1:18" x14ac:dyDescent="0.3">
      <c r="A89" s="3" t="s">
        <v>99</v>
      </c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5">
        <v>505</v>
      </c>
      <c r="R89" s="15">
        <f t="shared" si="8"/>
        <v>505</v>
      </c>
    </row>
    <row r="90" spans="1:18" x14ac:dyDescent="0.3">
      <c r="A90" s="3" t="s">
        <v>100</v>
      </c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5">
        <v>127</v>
      </c>
      <c r="R90" s="15">
        <f t="shared" si="8"/>
        <v>127</v>
      </c>
    </row>
    <row r="91" spans="1:18" x14ac:dyDescent="0.3">
      <c r="A91" s="3" t="s">
        <v>101</v>
      </c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5">
        <v>5660.75</v>
      </c>
      <c r="R91" s="15">
        <f t="shared" si="8"/>
        <v>5660.75</v>
      </c>
    </row>
    <row r="92" spans="1:18" x14ac:dyDescent="0.3">
      <c r="A92" s="3" t="s">
        <v>102</v>
      </c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5">
        <v>25</v>
      </c>
      <c r="R92" s="15">
        <f t="shared" si="8"/>
        <v>25</v>
      </c>
    </row>
    <row r="93" spans="1:18" x14ac:dyDescent="0.3">
      <c r="A93" s="3" t="s">
        <v>103</v>
      </c>
      <c r="B93" s="16">
        <f t="shared" ref="B93:P93" si="14">((((((((((((((((((((((((B68)+(B69))+(B70))+(B71))+(B72))+(B73))+(B74))+(B75))+(B76))+(B77))+(B78))+(B79))+(B80))+(B81))+(B82))+(B83))+(B84))+(B85))+(B86))+(B87))+(B88))+(B89))+(B90))+(B91))+(B92)</f>
        <v>0</v>
      </c>
      <c r="C93" s="16">
        <f t="shared" si="14"/>
        <v>0</v>
      </c>
      <c r="D93" s="16">
        <f t="shared" si="14"/>
        <v>0</v>
      </c>
      <c r="E93" s="16">
        <f t="shared" si="14"/>
        <v>0</v>
      </c>
      <c r="F93" s="16">
        <f t="shared" si="14"/>
        <v>0</v>
      </c>
      <c r="G93" s="16">
        <f t="shared" si="14"/>
        <v>0</v>
      </c>
      <c r="H93" s="16">
        <f t="shared" si="14"/>
        <v>0</v>
      </c>
      <c r="I93" s="16">
        <f t="shared" si="14"/>
        <v>0</v>
      </c>
      <c r="J93" s="16">
        <f t="shared" si="14"/>
        <v>0</v>
      </c>
      <c r="K93" s="16">
        <f t="shared" si="14"/>
        <v>0</v>
      </c>
      <c r="L93" s="16">
        <f t="shared" si="14"/>
        <v>0</v>
      </c>
      <c r="M93" s="16">
        <f t="shared" si="14"/>
        <v>0</v>
      </c>
      <c r="N93" s="16">
        <f t="shared" si="14"/>
        <v>0</v>
      </c>
      <c r="O93" s="16">
        <f t="shared" si="14"/>
        <v>0</v>
      </c>
      <c r="P93" s="16">
        <f t="shared" si="14"/>
        <v>0</v>
      </c>
      <c r="Q93" s="16">
        <f>((((((((((((((((((((((((Q68)+(Q69))+(Q70))+(Q71))+(Q72))+(Q73))+(Q74))+(Q75))+(Q76))+(Q77))+(Q78))+(Q79))+(Q80))+(Q81))+(Q82))+(Q83))+(Q84))+(Q85))+(Q86))+(Q87))+(Q88))+(Q89))+(Q90))+(Q91))+(Q92)</f>
        <v>22765.040000000001</v>
      </c>
      <c r="R93" s="17">
        <f t="shared" si="8"/>
        <v>22765.040000000001</v>
      </c>
    </row>
    <row r="94" spans="1:18" x14ac:dyDescent="0.3">
      <c r="A94" s="3" t="s">
        <v>104</v>
      </c>
      <c r="B94" s="16">
        <f t="shared" ref="B94:P94" si="15">(B66)-(B93)</f>
        <v>554.34</v>
      </c>
      <c r="C94" s="16">
        <f t="shared" si="15"/>
        <v>1191.56</v>
      </c>
      <c r="D94" s="16">
        <f t="shared" si="15"/>
        <v>-4221.82</v>
      </c>
      <c r="E94" s="16">
        <f t="shared" si="15"/>
        <v>484.01</v>
      </c>
      <c r="F94" s="16">
        <f t="shared" si="15"/>
        <v>4972.7900000000009</v>
      </c>
      <c r="G94" s="16">
        <f t="shared" si="15"/>
        <v>260.95000000000005</v>
      </c>
      <c r="H94" s="16">
        <f t="shared" si="15"/>
        <v>280.08000000000004</v>
      </c>
      <c r="I94" s="16">
        <f t="shared" si="15"/>
        <v>890.67999999999984</v>
      </c>
      <c r="J94" s="16">
        <f t="shared" si="15"/>
        <v>707.71</v>
      </c>
      <c r="K94" s="16">
        <f t="shared" si="15"/>
        <v>409.5</v>
      </c>
      <c r="L94" s="16">
        <f t="shared" si="15"/>
        <v>9768.7099999999991</v>
      </c>
      <c r="M94" s="16">
        <f t="shared" si="15"/>
        <v>5664.0400000000009</v>
      </c>
      <c r="N94" s="16">
        <f t="shared" si="15"/>
        <v>414.1800000000012</v>
      </c>
      <c r="O94" s="16">
        <f t="shared" si="15"/>
        <v>460.5</v>
      </c>
      <c r="P94" s="16">
        <f t="shared" si="15"/>
        <v>61.539999999999964</v>
      </c>
      <c r="Q94" s="16">
        <f>(Q66)-(Q93)</f>
        <v>-22765.040000000001</v>
      </c>
      <c r="R94" s="17">
        <f t="shared" si="8"/>
        <v>-866.27000000000044</v>
      </c>
    </row>
    <row r="95" spans="1:18" x14ac:dyDescent="0.3">
      <c r="A95" s="3" t="s">
        <v>105</v>
      </c>
      <c r="B95" s="18">
        <f t="shared" ref="B95:P95" si="16">(B94)+(0)</f>
        <v>554.34</v>
      </c>
      <c r="C95" s="18">
        <f t="shared" si="16"/>
        <v>1191.56</v>
      </c>
      <c r="D95" s="18">
        <f t="shared" si="16"/>
        <v>-4221.82</v>
      </c>
      <c r="E95" s="18">
        <f t="shared" si="16"/>
        <v>484.01</v>
      </c>
      <c r="F95" s="18">
        <f t="shared" si="16"/>
        <v>4972.7900000000009</v>
      </c>
      <c r="G95" s="18">
        <f t="shared" si="16"/>
        <v>260.95000000000005</v>
      </c>
      <c r="H95" s="18">
        <f t="shared" si="16"/>
        <v>280.08000000000004</v>
      </c>
      <c r="I95" s="18">
        <f t="shared" si="16"/>
        <v>890.67999999999984</v>
      </c>
      <c r="J95" s="18">
        <f t="shared" si="16"/>
        <v>707.71</v>
      </c>
      <c r="K95" s="18">
        <f t="shared" si="16"/>
        <v>409.5</v>
      </c>
      <c r="L95" s="18">
        <f t="shared" si="16"/>
        <v>9768.7099999999991</v>
      </c>
      <c r="M95" s="18">
        <f t="shared" si="16"/>
        <v>5664.0400000000009</v>
      </c>
      <c r="N95" s="18">
        <f t="shared" si="16"/>
        <v>414.1800000000012</v>
      </c>
      <c r="O95" s="18">
        <f t="shared" si="16"/>
        <v>460.5</v>
      </c>
      <c r="P95" s="18">
        <f t="shared" si="16"/>
        <v>61.539999999999964</v>
      </c>
      <c r="Q95" s="18">
        <f>(Q94)+(0)</f>
        <v>-22765.040000000001</v>
      </c>
      <c r="R95" s="17">
        <f t="shared" si="8"/>
        <v>-866.27000000000044</v>
      </c>
    </row>
    <row r="96" spans="1:18" x14ac:dyDescent="0.3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</row>
    <row r="99" spans="1:18" x14ac:dyDescent="0.3">
      <c r="A99" s="19" t="s">
        <v>106</v>
      </c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</row>
  </sheetData>
  <mergeCells count="1">
    <mergeCell ref="A99:R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Statement of Activity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Chelsea Pinkston</cp:lastModifiedBy>
  <dcterms:created xsi:type="dcterms:W3CDTF">2025-08-04T17:11:32Z</dcterms:created>
  <dcterms:modified xsi:type="dcterms:W3CDTF">2025-08-05T14:57:14Z</dcterms:modified>
</cp:coreProperties>
</file>